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3890" windowHeight="12030" activeTab="0"/>
  </bookViews>
  <sheets>
    <sheet name="Shim Calculator" sheetId="1" r:id="rId1"/>
    <sheet name="Shim Size &amp; Part Numbers" sheetId="2" r:id="rId2"/>
  </sheets>
  <definedNames>
    <definedName name="_xlnm.Print_Area" localSheetId="0">'Shim Calculator'!$A$1:$J$47</definedName>
  </definedNames>
  <calcPr fullCalcOnLoad="1"/>
</workbook>
</file>

<file path=xl/sharedStrings.xml><?xml version="1.0" encoding="utf-8"?>
<sst xmlns="http://schemas.openxmlformats.org/spreadsheetml/2006/main" count="87" uniqueCount="26">
  <si>
    <t>Cylinder #</t>
  </si>
  <si>
    <t>Shim Size (mm)</t>
  </si>
  <si>
    <t>Shim Size (inches)</t>
  </si>
  <si>
    <t>Shim Part Number</t>
  </si>
  <si>
    <t>Current Shim Size (inches)</t>
  </si>
  <si>
    <t>Intake/Exhaust</t>
  </si>
  <si>
    <t>Intake - F</t>
  </si>
  <si>
    <t>Intake - R</t>
  </si>
  <si>
    <t>Exhaust - R</t>
  </si>
  <si>
    <t>Exhaust - F</t>
  </si>
  <si>
    <t>3 (RR)</t>
  </si>
  <si>
    <t>1 (RF)</t>
  </si>
  <si>
    <t>2 (LF)</t>
  </si>
  <si>
    <t>4 (LR)</t>
  </si>
  <si>
    <t>1 (Right/Front)</t>
  </si>
  <si>
    <t>Current Shim Part Number</t>
  </si>
  <si>
    <t>Exhaust - Front</t>
  </si>
  <si>
    <t>Exhaust - Rear</t>
  </si>
  <si>
    <t>Valve Clearance Standard (±0.001")</t>
  </si>
  <si>
    <t>Valve Clearance Standard (±0.03 mm)</t>
  </si>
  <si>
    <t>Optimum Shim Size (mm)</t>
  </si>
  <si>
    <r>
      <t xml:space="preserve">INPUT </t>
    </r>
    <r>
      <rPr>
        <b/>
        <sz val="10"/>
        <color indexed="10"/>
        <rFont val="Arial"/>
        <family val="2"/>
      </rPr>
      <t xml:space="preserve">                    </t>
    </r>
    <r>
      <rPr>
        <b/>
        <sz val="10"/>
        <rFont val="Arial"/>
        <family val="2"/>
      </rPr>
      <t>Current Shim Size (mm)</t>
    </r>
  </si>
  <si>
    <r>
      <t xml:space="preserve">INPUT               </t>
    </r>
    <r>
      <rPr>
        <b/>
        <sz val="12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Current Valve Clearance (inches)</t>
    </r>
  </si>
  <si>
    <r>
      <t xml:space="preserve">OUTPUT </t>
    </r>
    <r>
      <rPr>
        <b/>
        <sz val="10"/>
        <color indexed="10"/>
        <rFont val="Arial"/>
        <family val="2"/>
      </rPr>
      <t xml:space="preserve">                    </t>
    </r>
    <r>
      <rPr>
        <b/>
        <sz val="10"/>
        <rFont val="Arial"/>
        <family val="2"/>
      </rPr>
      <t>Recommended Shim Part Number</t>
    </r>
  </si>
  <si>
    <r>
      <t xml:space="preserve">INPUT               </t>
    </r>
    <r>
      <rPr>
        <b/>
        <sz val="12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Current Valve Clearance (mm)</t>
    </r>
  </si>
  <si>
    <r>
      <t xml:space="preserve">OUTPUT </t>
    </r>
    <r>
      <rPr>
        <b/>
        <sz val="10"/>
        <color indexed="10"/>
        <rFont val="Arial"/>
        <family val="2"/>
      </rPr>
      <t xml:space="preserve">                    </t>
    </r>
    <r>
      <rPr>
        <b/>
        <sz val="10"/>
        <rFont val="Arial"/>
        <family val="2"/>
      </rPr>
      <t>Recommended Shim Size (mm)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</si>
</sst>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000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1" fillId="0" borderId="4" xfId="0" applyNumberFormat="1" applyFont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44" fontId="1" fillId="0" borderId="3" xfId="0" applyNumberFormat="1" applyFont="1" applyFill="1" applyBorder="1" applyAlignment="1">
      <alignment horizontal="center" wrapText="1"/>
    </xf>
    <xf numFmtId="166" fontId="2" fillId="5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8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164" fontId="1" fillId="4" borderId="4" xfId="0" applyNumberFormat="1" applyFont="1" applyFill="1" applyBorder="1" applyAlignment="1">
      <alignment/>
    </xf>
    <xf numFmtId="164" fontId="1" fillId="3" borderId="4" xfId="0" applyNumberFormat="1" applyFont="1" applyFill="1" applyBorder="1" applyAlignment="1">
      <alignment/>
    </xf>
    <xf numFmtId="164" fontId="1" fillId="3" borderId="5" xfId="0" applyNumberFormat="1" applyFont="1" applyFill="1" applyBorder="1" applyAlignment="1">
      <alignment/>
    </xf>
    <xf numFmtId="164" fontId="1" fillId="3" borderId="9" xfId="0" applyNumberFormat="1" applyFont="1" applyFill="1" applyBorder="1" applyAlignment="1">
      <alignment/>
    </xf>
    <xf numFmtId="2" fontId="1" fillId="4" borderId="4" xfId="0" applyNumberFormat="1" applyFont="1" applyFill="1" applyBorder="1" applyAlignment="1">
      <alignment/>
    </xf>
    <xf numFmtId="2" fontId="1" fillId="3" borderId="4" xfId="0" applyNumberFormat="1" applyFont="1" applyFill="1" applyBorder="1" applyAlignment="1">
      <alignment/>
    </xf>
    <xf numFmtId="2" fontId="1" fillId="3" borderId="5" xfId="0" applyNumberFormat="1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164" fontId="0" fillId="3" borderId="2" xfId="0" applyNumberFormat="1" applyFont="1" applyFill="1" applyBorder="1" applyAlignment="1">
      <alignment/>
    </xf>
    <xf numFmtId="164" fontId="0" fillId="3" borderId="10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right"/>
    </xf>
    <xf numFmtId="164" fontId="0" fillId="4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165" fontId="0" fillId="3" borderId="2" xfId="0" applyNumberFormat="1" applyFont="1" applyFill="1" applyBorder="1" applyAlignment="1">
      <alignment horizontal="right"/>
    </xf>
    <xf numFmtId="164" fontId="0" fillId="3" borderId="14" xfId="0" applyNumberFormat="1" applyFont="1" applyFill="1" applyBorder="1" applyAlignment="1">
      <alignment horizontal="right"/>
    </xf>
    <xf numFmtId="165" fontId="0" fillId="3" borderId="1" xfId="0" applyNumberFormat="1" applyFont="1" applyFill="1" applyBorder="1" applyAlignment="1">
      <alignment horizontal="right"/>
    </xf>
    <xf numFmtId="0" fontId="0" fillId="3" borderId="15" xfId="0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right"/>
    </xf>
    <xf numFmtId="164" fontId="0" fillId="3" borderId="16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7" borderId="17" xfId="0" applyNumberFormat="1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44" fontId="1" fillId="8" borderId="19" xfId="0" applyNumberFormat="1" applyFont="1" applyFill="1" applyBorder="1" applyAlignment="1">
      <alignment horizontal="center" wrapText="1"/>
    </xf>
    <xf numFmtId="44" fontId="1" fillId="8" borderId="20" xfId="0" applyNumberFormat="1" applyFont="1" applyFill="1" applyBorder="1" applyAlignment="1">
      <alignment horizontal="center" wrapText="1"/>
    </xf>
    <xf numFmtId="166" fontId="1" fillId="8" borderId="21" xfId="0" applyNumberFormat="1" applyFont="1" applyFill="1" applyBorder="1" applyAlignment="1">
      <alignment horizontal="center" wrapText="1"/>
    </xf>
    <xf numFmtId="164" fontId="1" fillId="8" borderId="21" xfId="0" applyNumberFormat="1" applyFont="1" applyFill="1" applyBorder="1" applyAlignment="1">
      <alignment horizontal="center" wrapText="1"/>
    </xf>
    <xf numFmtId="44" fontId="1" fillId="8" borderId="21" xfId="0" applyNumberFormat="1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/>
    </xf>
    <xf numFmtId="166" fontId="0" fillId="4" borderId="1" xfId="0" applyNumberFormat="1" applyFon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6" fontId="0" fillId="3" borderId="2" xfId="0" applyNumberFormat="1" applyFont="1" applyFill="1" applyBorder="1" applyAlignment="1">
      <alignment/>
    </xf>
    <xf numFmtId="166" fontId="0" fillId="3" borderId="1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right"/>
    </xf>
    <xf numFmtId="164" fontId="0" fillId="3" borderId="10" xfId="0" applyNumberFormat="1" applyFont="1" applyFill="1" applyBorder="1" applyAlignment="1">
      <alignment horizontal="right"/>
    </xf>
    <xf numFmtId="166" fontId="5" fillId="8" borderId="21" xfId="0" applyNumberFormat="1" applyFont="1" applyFill="1" applyBorder="1" applyAlignment="1">
      <alignment horizontal="center" wrapText="1"/>
    </xf>
    <xf numFmtId="164" fontId="5" fillId="9" borderId="17" xfId="0" applyNumberFormat="1" applyFont="1" applyFill="1" applyBorder="1" applyAlignment="1">
      <alignment horizontal="center" wrapText="1"/>
    </xf>
    <xf numFmtId="164" fontId="1" fillId="9" borderId="17" xfId="0" applyNumberFormat="1" applyFont="1" applyFill="1" applyBorder="1" applyAlignment="1">
      <alignment horizontal="center" wrapText="1"/>
    </xf>
    <xf numFmtId="166" fontId="5" fillId="8" borderId="23" xfId="0" applyNumberFormat="1" applyFont="1" applyFill="1" applyBorder="1" applyAlignment="1">
      <alignment horizontal="center" wrapText="1"/>
    </xf>
    <xf numFmtId="164" fontId="5" fillId="7" borderId="17" xfId="0" applyNumberFormat="1" applyFont="1" applyFill="1" applyBorder="1" applyAlignment="1">
      <alignment horizontal="center" wrapText="1"/>
    </xf>
    <xf numFmtId="166" fontId="1" fillId="4" borderId="7" xfId="0" applyNumberFormat="1" applyFont="1" applyFill="1" applyBorder="1" applyAlignment="1">
      <alignment horizontal="center"/>
    </xf>
    <xf numFmtId="166" fontId="2" fillId="5" borderId="24" xfId="0" applyNumberFormat="1" applyFont="1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1"/>
  <sheetViews>
    <sheetView tabSelected="1" zoomScale="89" zoomScaleNormal="89" workbookViewId="0" topLeftCell="A1">
      <selection activeCell="A1" sqref="A1"/>
    </sheetView>
  </sheetViews>
  <sheetFormatPr defaultColWidth="9.140625" defaultRowHeight="12.75"/>
  <cols>
    <col min="1" max="2" width="18.7109375" style="69" customWidth="1"/>
    <col min="3" max="3" width="20.7109375" style="27" customWidth="1"/>
    <col min="4" max="4" width="20.7109375" style="6" customWidth="1"/>
    <col min="5" max="5" width="18.7109375" style="63" customWidth="1"/>
    <col min="6" max="6" width="18.7109375" style="91" customWidth="1"/>
    <col min="7" max="7" width="18.7109375" style="68" customWidth="1"/>
    <col min="8" max="9" width="18.7109375" style="63" customWidth="1"/>
    <col min="10" max="10" width="18.7109375" style="64" customWidth="1"/>
    <col min="11" max="11" width="17.57421875" style="61" customWidth="1"/>
    <col min="12" max="19" width="8.8515625" style="61" customWidth="1"/>
    <col min="20" max="46" width="8.8515625" style="44" customWidth="1"/>
    <col min="47" max="16384" width="8.8515625" style="61" customWidth="1"/>
  </cols>
  <sheetData>
    <row r="1" spans="1:46" s="3" customFormat="1" ht="49.5" customHeight="1">
      <c r="A1" s="79" t="s">
        <v>0</v>
      </c>
      <c r="B1" s="80" t="s">
        <v>5</v>
      </c>
      <c r="C1" s="96" t="s">
        <v>22</v>
      </c>
      <c r="D1" s="97" t="s">
        <v>18</v>
      </c>
      <c r="E1" s="95" t="s">
        <v>21</v>
      </c>
      <c r="F1" s="81" t="s">
        <v>4</v>
      </c>
      <c r="G1" s="83" t="s">
        <v>15</v>
      </c>
      <c r="H1" s="82" t="s">
        <v>20</v>
      </c>
      <c r="I1" s="95" t="s">
        <v>25</v>
      </c>
      <c r="J1" s="98" t="s">
        <v>23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6" s="45" customFormat="1" ht="12.75">
      <c r="A2" s="40" t="s">
        <v>14</v>
      </c>
      <c r="B2" s="75" t="s">
        <v>16</v>
      </c>
      <c r="C2" s="28">
        <v>0.011</v>
      </c>
      <c r="D2" s="28">
        <v>0.01</v>
      </c>
      <c r="E2" s="36">
        <v>1.8</v>
      </c>
      <c r="F2" s="85">
        <f>E2/25.4</f>
        <v>0.07086614173228346</v>
      </c>
      <c r="G2" s="41" t="str">
        <f>VLOOKUP(F2,'Shim Size &amp; Part Numbers'!A:C,3)</f>
        <v>14925-KT7-013</v>
      </c>
      <c r="H2" s="92">
        <f>(C2-D2+F2)*25.4</f>
        <v>1.8254</v>
      </c>
      <c r="I2" s="36">
        <f>0.025*ROUND(((C2-D2+F2)*25.4)/0.025,0)</f>
        <v>1.8250000000000002</v>
      </c>
      <c r="J2" s="42" t="str">
        <f>VLOOKUP(I2,'Shim Size &amp; Part Numbers'!B:C,2)</f>
        <v>14926-KT7-013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6" s="46" customFormat="1" ht="12.75">
      <c r="A3" s="40" t="s">
        <v>11</v>
      </c>
      <c r="B3" s="75" t="s">
        <v>17</v>
      </c>
      <c r="C3" s="28">
        <v>0.015</v>
      </c>
      <c r="D3" s="28">
        <v>0.01</v>
      </c>
      <c r="E3" s="36">
        <v>1.925</v>
      </c>
      <c r="F3" s="85">
        <f aca="true" t="shared" si="0" ref="F3:F17">E3/25.4</f>
        <v>0.07578740157480315</v>
      </c>
      <c r="G3" s="41" t="str">
        <f>VLOOKUP(F3,'Shim Size &amp; Part Numbers'!A:C,3)</f>
        <v>14930-KT7-013</v>
      </c>
      <c r="H3" s="92">
        <f aca="true" t="shared" si="1" ref="H3:H17">(C3-D3+F3)*25.4</f>
        <v>2.052</v>
      </c>
      <c r="I3" s="36">
        <f aca="true" t="shared" si="2" ref="I3:I17">0.025*ROUND(((C3-D3+F3)*25.4)/0.025,0)</f>
        <v>2.0500000000000003</v>
      </c>
      <c r="J3" s="42" t="str">
        <f>VLOOKUP(I3,'Shim Size &amp; Part Numbers'!B:C,2)</f>
        <v>14935-KT7-013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</row>
    <row r="4" spans="1:46" s="49" customFormat="1" ht="12.75">
      <c r="A4" s="47" t="s">
        <v>11</v>
      </c>
      <c r="B4" s="76" t="s">
        <v>6</v>
      </c>
      <c r="C4" s="29">
        <v>0.007</v>
      </c>
      <c r="D4" s="29">
        <v>0.006</v>
      </c>
      <c r="E4" s="37">
        <v>1.4</v>
      </c>
      <c r="F4" s="86">
        <f t="shared" si="0"/>
        <v>0.05511811023622047</v>
      </c>
      <c r="G4" s="9" t="str">
        <f>VLOOKUP(F4,'Shim Size &amp; Part Numbers'!A:C,3)</f>
        <v>14909-KT7-013</v>
      </c>
      <c r="H4" s="14">
        <f t="shared" si="1"/>
        <v>1.4254</v>
      </c>
      <c r="I4" s="37">
        <f t="shared" si="2"/>
        <v>1.425</v>
      </c>
      <c r="J4" s="48" t="str">
        <f>VLOOKUP(I4,'Shim Size &amp; Part Numbers'!B:C,2)</f>
        <v>14910-KT7-013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s="49" customFormat="1" ht="12.75">
      <c r="A5" s="50" t="s">
        <v>11</v>
      </c>
      <c r="B5" s="77" t="s">
        <v>7</v>
      </c>
      <c r="C5" s="30">
        <v>0.008</v>
      </c>
      <c r="D5" s="30">
        <v>0.006</v>
      </c>
      <c r="E5" s="38">
        <v>1.225</v>
      </c>
      <c r="F5" s="87">
        <f t="shared" si="0"/>
        <v>0.04822834645669292</v>
      </c>
      <c r="G5" s="51" t="str">
        <f>VLOOKUP(F5,'Shim Size &amp; Part Numbers'!A:C,3)</f>
        <v>14902-KT7-013</v>
      </c>
      <c r="H5" s="93">
        <f t="shared" si="1"/>
        <v>1.2758</v>
      </c>
      <c r="I5" s="38">
        <f t="shared" si="2"/>
        <v>1.2750000000000001</v>
      </c>
      <c r="J5" s="52" t="str">
        <f>VLOOKUP(I5,'Shim Size &amp; Part Numbers'!B:C,2)</f>
        <v>14904-KT7-013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s="46" customFormat="1" ht="12.75">
      <c r="A6" s="40" t="s">
        <v>12</v>
      </c>
      <c r="B6" s="75" t="s">
        <v>9</v>
      </c>
      <c r="C6" s="28">
        <v>0.016</v>
      </c>
      <c r="D6" s="28">
        <v>0.01</v>
      </c>
      <c r="E6" s="36">
        <v>1.35</v>
      </c>
      <c r="F6" s="85">
        <f t="shared" si="0"/>
        <v>0.05314960629921261</v>
      </c>
      <c r="G6" s="41" t="str">
        <f>VLOOKUP(F6,'Shim Size &amp; Part Numbers'!A:C,3)</f>
        <v>14907-KT7-013</v>
      </c>
      <c r="H6" s="92">
        <f t="shared" si="1"/>
        <v>1.5024000000000002</v>
      </c>
      <c r="I6" s="36">
        <f t="shared" si="2"/>
        <v>1.5</v>
      </c>
      <c r="J6" s="42" t="str">
        <f>VLOOKUP(I6,'Shim Size &amp; Part Numbers'!B:C,2)</f>
        <v>14913-KT7-013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s="46" customFormat="1" ht="12.75">
      <c r="A7" s="40" t="s">
        <v>12</v>
      </c>
      <c r="B7" s="75" t="s">
        <v>8</v>
      </c>
      <c r="C7" s="28">
        <v>0.017</v>
      </c>
      <c r="D7" s="28">
        <v>0.01</v>
      </c>
      <c r="E7" s="36">
        <v>1.7</v>
      </c>
      <c r="F7" s="85">
        <f t="shared" si="0"/>
        <v>0.06692913385826772</v>
      </c>
      <c r="G7" s="41" t="str">
        <f>VLOOKUP(F7,'Shim Size &amp; Part Numbers'!A:C,3)</f>
        <v>14921-KT7-013</v>
      </c>
      <c r="H7" s="92">
        <f t="shared" si="1"/>
        <v>1.8778000000000001</v>
      </c>
      <c r="I7" s="36">
        <f t="shared" si="2"/>
        <v>1.875</v>
      </c>
      <c r="J7" s="42" t="str">
        <f>VLOOKUP(I7,'Shim Size &amp; Part Numbers'!B:C,2)</f>
        <v>14928-KT7-013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s="49" customFormat="1" ht="12.75">
      <c r="A8" s="47" t="s">
        <v>12</v>
      </c>
      <c r="B8" s="76" t="s">
        <v>6</v>
      </c>
      <c r="C8" s="29">
        <v>0.009</v>
      </c>
      <c r="D8" s="29">
        <v>0.006</v>
      </c>
      <c r="E8" s="37">
        <v>2.1</v>
      </c>
      <c r="F8" s="86">
        <f t="shared" si="0"/>
        <v>0.08267716535433071</v>
      </c>
      <c r="G8" s="53" t="str">
        <f>VLOOKUP(F8,'Shim Size &amp; Part Numbers'!A:C,3)</f>
        <v>14937-KT7-013</v>
      </c>
      <c r="H8" s="14">
        <f t="shared" si="1"/>
        <v>2.1762</v>
      </c>
      <c r="I8" s="37">
        <f t="shared" si="2"/>
        <v>2.1750000000000003</v>
      </c>
      <c r="J8" s="48" t="str">
        <f>VLOOKUP(I8,'Shim Size &amp; Part Numbers'!B:C,2)</f>
        <v>14939-KT7-013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s="49" customFormat="1" ht="12.75">
      <c r="A9" s="50" t="s">
        <v>12</v>
      </c>
      <c r="B9" s="77" t="s">
        <v>7</v>
      </c>
      <c r="C9" s="30">
        <v>0.006</v>
      </c>
      <c r="D9" s="30">
        <v>0.006</v>
      </c>
      <c r="E9" s="38">
        <v>1.65</v>
      </c>
      <c r="F9" s="87">
        <f t="shared" si="0"/>
        <v>0.06496062992125984</v>
      </c>
      <c r="G9" s="51" t="str">
        <f>VLOOKUP(F9,'Shim Size &amp; Part Numbers'!A:C,3)</f>
        <v>14919-KT7-013</v>
      </c>
      <c r="H9" s="93">
        <f t="shared" si="1"/>
        <v>1.6499999999999997</v>
      </c>
      <c r="I9" s="38">
        <f t="shared" si="2"/>
        <v>1.6500000000000001</v>
      </c>
      <c r="J9" s="52" t="str">
        <f>VLOOKUP(I9,'Shim Size &amp; Part Numbers'!B:C,2)</f>
        <v>14919-KT7-013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s="46" customFormat="1" ht="12.75">
      <c r="A10" s="40" t="s">
        <v>10</v>
      </c>
      <c r="B10" s="75" t="s">
        <v>9</v>
      </c>
      <c r="C10" s="28">
        <v>0.005</v>
      </c>
      <c r="D10" s="28">
        <v>0.01</v>
      </c>
      <c r="E10" s="36">
        <v>1.775</v>
      </c>
      <c r="F10" s="85">
        <f t="shared" si="0"/>
        <v>0.06988188976377953</v>
      </c>
      <c r="G10" s="41" t="str">
        <f>VLOOKUP(F10,'Shim Size &amp; Part Numbers'!A:C,3)</f>
        <v>14924-KT7-013</v>
      </c>
      <c r="H10" s="92">
        <f t="shared" si="1"/>
        <v>1.648</v>
      </c>
      <c r="I10" s="36">
        <f t="shared" si="2"/>
        <v>1.6500000000000001</v>
      </c>
      <c r="J10" s="42" t="str">
        <f>VLOOKUP(I10,'Shim Size &amp; Part Numbers'!B:C,2)</f>
        <v>14919-KT7-013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46" customFormat="1" ht="12.75">
      <c r="A11" s="40" t="s">
        <v>10</v>
      </c>
      <c r="B11" s="75" t="s">
        <v>8</v>
      </c>
      <c r="C11" s="28">
        <v>0.008</v>
      </c>
      <c r="D11" s="28">
        <v>0.01</v>
      </c>
      <c r="E11" s="36">
        <v>1.8</v>
      </c>
      <c r="F11" s="85">
        <f t="shared" si="0"/>
        <v>0.07086614173228346</v>
      </c>
      <c r="G11" s="41" t="str">
        <f>VLOOKUP(F11,'Shim Size &amp; Part Numbers'!A:C,3)</f>
        <v>14925-KT7-013</v>
      </c>
      <c r="H11" s="92">
        <f t="shared" si="1"/>
        <v>1.7491999999999999</v>
      </c>
      <c r="I11" s="36">
        <f t="shared" si="2"/>
        <v>1.75</v>
      </c>
      <c r="J11" s="42" t="str">
        <f>VLOOKUP(I11,'Shim Size &amp; Part Numbers'!B:C,2)</f>
        <v>14923-KT7-013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s="49" customFormat="1" ht="12.75">
      <c r="A12" s="47" t="s">
        <v>10</v>
      </c>
      <c r="B12" s="76" t="s">
        <v>6</v>
      </c>
      <c r="C12" s="29">
        <v>0.008</v>
      </c>
      <c r="D12" s="29">
        <v>0.006</v>
      </c>
      <c r="E12" s="37">
        <v>1.975</v>
      </c>
      <c r="F12" s="86">
        <f t="shared" si="0"/>
        <v>0.07775590551181104</v>
      </c>
      <c r="G12" s="53" t="str">
        <f>VLOOKUP(F12,'Shim Size &amp; Part Numbers'!A:C,3)</f>
        <v>14932-KT7-013</v>
      </c>
      <c r="H12" s="14">
        <f t="shared" si="1"/>
        <v>2.0258000000000003</v>
      </c>
      <c r="I12" s="37">
        <f t="shared" si="2"/>
        <v>2.025</v>
      </c>
      <c r="J12" s="48" t="str">
        <f>VLOOKUP(I12,'Shim Size &amp; Part Numbers'!B:C,2)</f>
        <v>14934-KT7-013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s="49" customFormat="1" ht="12.75">
      <c r="A13" s="50" t="s">
        <v>10</v>
      </c>
      <c r="B13" s="77" t="s">
        <v>7</v>
      </c>
      <c r="C13" s="30">
        <v>0.007</v>
      </c>
      <c r="D13" s="30">
        <v>0.006</v>
      </c>
      <c r="E13" s="38">
        <v>1.375</v>
      </c>
      <c r="F13" s="87">
        <f t="shared" si="0"/>
        <v>0.054133858267716536</v>
      </c>
      <c r="G13" s="51" t="str">
        <f>VLOOKUP(F13,'Shim Size &amp; Part Numbers'!A:C,3)</f>
        <v>14908-KT7-013</v>
      </c>
      <c r="H13" s="93">
        <f t="shared" si="1"/>
        <v>1.4003999999999999</v>
      </c>
      <c r="I13" s="38">
        <f t="shared" si="2"/>
        <v>1.4000000000000001</v>
      </c>
      <c r="J13" s="52" t="str">
        <f>VLOOKUP(I13,'Shim Size &amp; Part Numbers'!B:C,2)</f>
        <v>14909-KT7-013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s="46" customFormat="1" ht="12.75">
      <c r="A14" s="40" t="s">
        <v>13</v>
      </c>
      <c r="B14" s="75" t="s">
        <v>9</v>
      </c>
      <c r="C14" s="28">
        <v>0.015</v>
      </c>
      <c r="D14" s="28">
        <v>0.01</v>
      </c>
      <c r="E14" s="36">
        <v>1.825</v>
      </c>
      <c r="F14" s="85">
        <f t="shared" si="0"/>
        <v>0.0718503937007874</v>
      </c>
      <c r="G14" s="41" t="str">
        <f>VLOOKUP(F14,'Shim Size &amp; Part Numbers'!A:C,3)</f>
        <v>14926-KT7-013</v>
      </c>
      <c r="H14" s="92">
        <f t="shared" si="1"/>
        <v>1.952</v>
      </c>
      <c r="I14" s="36">
        <f t="shared" si="2"/>
        <v>1.9500000000000002</v>
      </c>
      <c r="J14" s="42" t="str">
        <f>VLOOKUP(I14,'Shim Size &amp; Part Numbers'!B:C,2)</f>
        <v>14931-KT7-013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s="46" customFormat="1" ht="12.75">
      <c r="A15" s="40" t="s">
        <v>13</v>
      </c>
      <c r="B15" s="75" t="s">
        <v>8</v>
      </c>
      <c r="C15" s="28">
        <v>0.018</v>
      </c>
      <c r="D15" s="28">
        <v>0.01</v>
      </c>
      <c r="E15" s="36">
        <v>1.925</v>
      </c>
      <c r="F15" s="85">
        <f t="shared" si="0"/>
        <v>0.07578740157480315</v>
      </c>
      <c r="G15" s="41" t="str">
        <f>VLOOKUP(F15,'Shim Size &amp; Part Numbers'!A:C,3)</f>
        <v>14930-KT7-013</v>
      </c>
      <c r="H15" s="92">
        <f t="shared" si="1"/>
        <v>2.1281999999999996</v>
      </c>
      <c r="I15" s="36">
        <f t="shared" si="2"/>
        <v>2.125</v>
      </c>
      <c r="J15" s="42" t="str">
        <f>VLOOKUP(I15,'Shim Size &amp; Part Numbers'!B:C,2)</f>
        <v>14938-KT7-013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49" customFormat="1" ht="12.75">
      <c r="A16" s="47" t="s">
        <v>13</v>
      </c>
      <c r="B16" s="76" t="s">
        <v>6</v>
      </c>
      <c r="C16" s="29">
        <v>0.006</v>
      </c>
      <c r="D16" s="29">
        <v>0.006</v>
      </c>
      <c r="E16" s="37">
        <v>1.625</v>
      </c>
      <c r="F16" s="86">
        <f t="shared" si="0"/>
        <v>0.0639763779527559</v>
      </c>
      <c r="G16" s="53" t="str">
        <f>VLOOKUP(F16,'Shim Size &amp; Part Numbers'!A:C,3)</f>
        <v>14918-KT7-013</v>
      </c>
      <c r="H16" s="14">
        <f t="shared" si="1"/>
        <v>1.6249999999999998</v>
      </c>
      <c r="I16" s="37">
        <f t="shared" si="2"/>
        <v>1.625</v>
      </c>
      <c r="J16" s="48" t="str">
        <f>VLOOKUP(I16,'Shim Size &amp; Part Numbers'!B:C,2)</f>
        <v>14918-KT7-013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s="49" customFormat="1" ht="13.5" thickBot="1">
      <c r="A17" s="54" t="s">
        <v>13</v>
      </c>
      <c r="B17" s="78" t="s">
        <v>7</v>
      </c>
      <c r="C17" s="31">
        <v>0.005</v>
      </c>
      <c r="D17" s="31">
        <v>0.006</v>
      </c>
      <c r="E17" s="39">
        <v>1.5</v>
      </c>
      <c r="F17" s="88">
        <f t="shared" si="0"/>
        <v>0.05905511811023623</v>
      </c>
      <c r="G17" s="55" t="str">
        <f>VLOOKUP(F17,'Shim Size &amp; Part Numbers'!A:C,3)</f>
        <v>14913-KT7-013</v>
      </c>
      <c r="H17" s="94">
        <f t="shared" si="1"/>
        <v>1.4746000000000001</v>
      </c>
      <c r="I17" s="39">
        <f t="shared" si="2"/>
        <v>1.475</v>
      </c>
      <c r="J17" s="56" t="str">
        <f>VLOOKUP(I17,'Shim Size &amp; Part Numbers'!B:C,2)</f>
        <v>14912-KT7-013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24" ht="12.75">
      <c r="A18" s="57"/>
      <c r="B18" s="57"/>
      <c r="C18" s="15"/>
      <c r="D18" s="15"/>
      <c r="E18" s="58"/>
      <c r="F18" s="89"/>
      <c r="G18" s="59"/>
      <c r="H18" s="58"/>
      <c r="I18" s="58"/>
      <c r="J18" s="60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3:46" s="59" customFormat="1" ht="13.5" thickBot="1">
      <c r="C19" s="15"/>
      <c r="D19" s="16"/>
      <c r="F19" s="89"/>
      <c r="H19" s="58"/>
      <c r="I19" s="58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s="3" customFormat="1" ht="49.5" customHeight="1">
      <c r="A20" s="79" t="s">
        <v>0</v>
      </c>
      <c r="B20" s="80" t="s">
        <v>5</v>
      </c>
      <c r="C20" s="99" t="s">
        <v>24</v>
      </c>
      <c r="D20" s="74" t="s">
        <v>19</v>
      </c>
      <c r="E20" s="95" t="s">
        <v>21</v>
      </c>
      <c r="F20" s="81" t="s">
        <v>4</v>
      </c>
      <c r="G20" s="83" t="s">
        <v>15</v>
      </c>
      <c r="H20" s="82" t="s">
        <v>20</v>
      </c>
      <c r="I20" s="95" t="s">
        <v>25</v>
      </c>
      <c r="J20" s="98" t="s">
        <v>23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6" s="45" customFormat="1" ht="12.75">
      <c r="A21" s="40" t="s">
        <v>14</v>
      </c>
      <c r="B21" s="75" t="s">
        <v>16</v>
      </c>
      <c r="C21" s="32">
        <v>0.28</v>
      </c>
      <c r="D21" s="32">
        <v>0.25</v>
      </c>
      <c r="E21" s="36">
        <v>1.8</v>
      </c>
      <c r="F21" s="85">
        <f aca="true" t="shared" si="3" ref="F21:F36">E21/25.4</f>
        <v>0.07086614173228346</v>
      </c>
      <c r="G21" s="41" t="str">
        <f>VLOOKUP(E21,'Shim Size &amp; Part Numbers'!B:C,2)</f>
        <v>14925-KT7-013</v>
      </c>
      <c r="H21" s="92">
        <f>C21-D21+E21</f>
        <v>1.83</v>
      </c>
      <c r="I21" s="36">
        <f aca="true" t="shared" si="4" ref="I21:I36">0.025*ROUND((C21-D21+E21)/0.025,0)</f>
        <v>1.8250000000000002</v>
      </c>
      <c r="J21" s="42" t="str">
        <f>VLOOKUP(I21,'Shim Size &amp; Part Numbers'!B:C,2)</f>
        <v>14926-KT7-013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</row>
    <row r="22" spans="1:46" s="46" customFormat="1" ht="12.75">
      <c r="A22" s="40" t="s">
        <v>11</v>
      </c>
      <c r="B22" s="75" t="s">
        <v>17</v>
      </c>
      <c r="C22" s="32">
        <v>0.33</v>
      </c>
      <c r="D22" s="32">
        <v>0.25</v>
      </c>
      <c r="E22" s="36">
        <v>1.925</v>
      </c>
      <c r="F22" s="85">
        <f t="shared" si="3"/>
        <v>0.07578740157480315</v>
      </c>
      <c r="G22" s="41" t="str">
        <f>VLOOKUP(E22,'Shim Size &amp; Part Numbers'!B:C,2)</f>
        <v>14930-KT7-013</v>
      </c>
      <c r="H22" s="92">
        <f aca="true" t="shared" si="5" ref="H22:H36">C22-D22+E22</f>
        <v>2.005</v>
      </c>
      <c r="I22" s="36">
        <f t="shared" si="4"/>
        <v>2</v>
      </c>
      <c r="J22" s="42" t="str">
        <f>VLOOKUP(I22,'Shim Size &amp; Part Numbers'!B:C,2)</f>
        <v>14933-KT7-013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s="49" customFormat="1" ht="12.75">
      <c r="A23" s="47" t="s">
        <v>11</v>
      </c>
      <c r="B23" s="76" t="s">
        <v>6</v>
      </c>
      <c r="C23" s="33">
        <v>0.11</v>
      </c>
      <c r="D23" s="33">
        <v>0.16</v>
      </c>
      <c r="E23" s="37">
        <v>1.4</v>
      </c>
      <c r="F23" s="86">
        <f t="shared" si="3"/>
        <v>0.05511811023622047</v>
      </c>
      <c r="G23" s="9" t="str">
        <f>VLOOKUP(E23,'Shim Size &amp; Part Numbers'!B:C,2)</f>
        <v>14909-KT7-013</v>
      </c>
      <c r="H23" s="14">
        <f t="shared" si="5"/>
        <v>1.3499999999999999</v>
      </c>
      <c r="I23" s="37">
        <f t="shared" si="4"/>
        <v>1.35</v>
      </c>
      <c r="J23" s="48" t="str">
        <f>VLOOKUP(I23,'Shim Size &amp; Part Numbers'!B:C,2)</f>
        <v>14907-KT7-013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s="49" customFormat="1" ht="12.75">
      <c r="A24" s="50" t="s">
        <v>11</v>
      </c>
      <c r="B24" s="77" t="s">
        <v>7</v>
      </c>
      <c r="C24" s="34">
        <v>0.16</v>
      </c>
      <c r="D24" s="34">
        <v>0.16</v>
      </c>
      <c r="E24" s="38">
        <v>1.225</v>
      </c>
      <c r="F24" s="87">
        <f t="shared" si="3"/>
        <v>0.04822834645669292</v>
      </c>
      <c r="G24" s="51" t="str">
        <f>VLOOKUP(E24,'Shim Size &amp; Part Numbers'!B:C,2)</f>
        <v>14902-KT7-013</v>
      </c>
      <c r="H24" s="93">
        <f t="shared" si="5"/>
        <v>1.225</v>
      </c>
      <c r="I24" s="38">
        <f t="shared" si="4"/>
        <v>1.225</v>
      </c>
      <c r="J24" s="52" t="str">
        <f>VLOOKUP(I24,'Shim Size &amp; Part Numbers'!B:C,2)</f>
        <v>14902-KT7-013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s="46" customFormat="1" ht="12.75">
      <c r="A25" s="40" t="s">
        <v>12</v>
      </c>
      <c r="B25" s="75" t="s">
        <v>9</v>
      </c>
      <c r="C25" s="32">
        <v>0.27</v>
      </c>
      <c r="D25" s="32">
        <v>0.25</v>
      </c>
      <c r="E25" s="36">
        <v>1.35</v>
      </c>
      <c r="F25" s="85">
        <f t="shared" si="3"/>
        <v>0.05314960629921261</v>
      </c>
      <c r="G25" s="41" t="str">
        <f>VLOOKUP(E25,'Shim Size &amp; Part Numbers'!B:C,2)</f>
        <v>14907-KT7-013</v>
      </c>
      <c r="H25" s="92">
        <f t="shared" si="5"/>
        <v>1.37</v>
      </c>
      <c r="I25" s="36">
        <f t="shared" si="4"/>
        <v>1.375</v>
      </c>
      <c r="J25" s="42" t="str">
        <f>VLOOKUP(I25,'Shim Size &amp; Part Numbers'!B:C,2)</f>
        <v>14908-KT7-013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46" customFormat="1" ht="12.75">
      <c r="A26" s="40" t="s">
        <v>12</v>
      </c>
      <c r="B26" s="75" t="s">
        <v>8</v>
      </c>
      <c r="C26" s="32">
        <v>0.31</v>
      </c>
      <c r="D26" s="32">
        <v>0.25</v>
      </c>
      <c r="E26" s="36">
        <v>1.7</v>
      </c>
      <c r="F26" s="85">
        <f t="shared" si="3"/>
        <v>0.06692913385826772</v>
      </c>
      <c r="G26" s="41" t="str">
        <f>VLOOKUP(E26,'Shim Size &amp; Part Numbers'!B:C,2)</f>
        <v>14921-KT7-013</v>
      </c>
      <c r="H26" s="92">
        <f t="shared" si="5"/>
        <v>1.76</v>
      </c>
      <c r="I26" s="36">
        <f t="shared" si="4"/>
        <v>1.75</v>
      </c>
      <c r="J26" s="42" t="str">
        <f>VLOOKUP(I26,'Shim Size &amp; Part Numbers'!B:C,2)</f>
        <v>14923-KT7-013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s="49" customFormat="1" ht="12.75">
      <c r="A27" s="47" t="s">
        <v>12</v>
      </c>
      <c r="B27" s="76" t="s">
        <v>6</v>
      </c>
      <c r="C27" s="33">
        <v>0.1</v>
      </c>
      <c r="D27" s="33">
        <v>0.16</v>
      </c>
      <c r="E27" s="37">
        <v>2.1</v>
      </c>
      <c r="F27" s="86">
        <f t="shared" si="3"/>
        <v>0.08267716535433071</v>
      </c>
      <c r="G27" s="53" t="str">
        <f>VLOOKUP(E27,'Shim Size &amp; Part Numbers'!B:C,2)</f>
        <v>14937-KT7-013</v>
      </c>
      <c r="H27" s="14">
        <f t="shared" si="5"/>
        <v>2.04</v>
      </c>
      <c r="I27" s="37">
        <f t="shared" si="4"/>
        <v>2.0500000000000003</v>
      </c>
      <c r="J27" s="48" t="str">
        <f>VLOOKUP(I27,'Shim Size &amp; Part Numbers'!B:C,2)</f>
        <v>14935-KT7-013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s="49" customFormat="1" ht="12.75">
      <c r="A28" s="50" t="s">
        <v>12</v>
      </c>
      <c r="B28" s="77" t="s">
        <v>7</v>
      </c>
      <c r="C28" s="34">
        <v>0.09</v>
      </c>
      <c r="D28" s="34">
        <v>0.16</v>
      </c>
      <c r="E28" s="38">
        <v>1.65</v>
      </c>
      <c r="F28" s="87">
        <f t="shared" si="3"/>
        <v>0.06496062992125984</v>
      </c>
      <c r="G28" s="51" t="str">
        <f>VLOOKUP(E28,'Shim Size &amp; Part Numbers'!B:C,2)</f>
        <v>14919-KT7-013</v>
      </c>
      <c r="H28" s="93">
        <f t="shared" si="5"/>
        <v>1.5799999999999998</v>
      </c>
      <c r="I28" s="38">
        <f t="shared" si="4"/>
        <v>1.5750000000000002</v>
      </c>
      <c r="J28" s="52" t="str">
        <f>VLOOKUP(I28,'Shim Size &amp; Part Numbers'!B:C,2)</f>
        <v>14916-KT7-013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s="46" customFormat="1" ht="12.75">
      <c r="A29" s="40" t="s">
        <v>10</v>
      </c>
      <c r="B29" s="75" t="s">
        <v>9</v>
      </c>
      <c r="C29" s="32">
        <v>0.22</v>
      </c>
      <c r="D29" s="32">
        <v>0.25</v>
      </c>
      <c r="E29" s="36">
        <v>1.775</v>
      </c>
      <c r="F29" s="85">
        <f t="shared" si="3"/>
        <v>0.06988188976377953</v>
      </c>
      <c r="G29" s="41" t="str">
        <f>VLOOKUP(E29,'Shim Size &amp; Part Numbers'!B:C,2)</f>
        <v>14924-KT7-013</v>
      </c>
      <c r="H29" s="92">
        <f t="shared" si="5"/>
        <v>1.7449999999999999</v>
      </c>
      <c r="I29" s="36">
        <f t="shared" si="4"/>
        <v>1.75</v>
      </c>
      <c r="J29" s="42" t="str">
        <f>VLOOKUP(I29,'Shim Size &amp; Part Numbers'!B:C,2)</f>
        <v>14923-KT7-013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s="46" customFormat="1" ht="12.75">
      <c r="A30" s="40" t="s">
        <v>10</v>
      </c>
      <c r="B30" s="75" t="s">
        <v>8</v>
      </c>
      <c r="C30" s="32">
        <v>0.23</v>
      </c>
      <c r="D30" s="32">
        <v>0.25</v>
      </c>
      <c r="E30" s="36">
        <v>1.8</v>
      </c>
      <c r="F30" s="85">
        <f t="shared" si="3"/>
        <v>0.07086614173228346</v>
      </c>
      <c r="G30" s="41" t="str">
        <f>VLOOKUP(E30,'Shim Size &amp; Part Numbers'!B:C,2)</f>
        <v>14925-KT7-013</v>
      </c>
      <c r="H30" s="92">
        <f t="shared" si="5"/>
        <v>1.78</v>
      </c>
      <c r="I30" s="36">
        <f t="shared" si="4"/>
        <v>1.7750000000000001</v>
      </c>
      <c r="J30" s="42" t="str">
        <f>VLOOKUP(I30,'Shim Size &amp; Part Numbers'!B:C,2)</f>
        <v>14924-KT7-013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49" customFormat="1" ht="12.75">
      <c r="A31" s="47" t="s">
        <v>10</v>
      </c>
      <c r="B31" s="76" t="s">
        <v>6</v>
      </c>
      <c r="C31" s="33">
        <v>0.19</v>
      </c>
      <c r="D31" s="33">
        <v>0.16</v>
      </c>
      <c r="E31" s="37">
        <v>1.975</v>
      </c>
      <c r="F31" s="86">
        <f t="shared" si="3"/>
        <v>0.07775590551181104</v>
      </c>
      <c r="G31" s="53" t="str">
        <f>VLOOKUP(E31,'Shim Size &amp; Part Numbers'!B:C,2)</f>
        <v>14932-KT7-013</v>
      </c>
      <c r="H31" s="14">
        <f t="shared" si="5"/>
        <v>2.005</v>
      </c>
      <c r="I31" s="37">
        <f t="shared" si="4"/>
        <v>2</v>
      </c>
      <c r="J31" s="48" t="str">
        <f>VLOOKUP(I31,'Shim Size &amp; Part Numbers'!B:C,2)</f>
        <v>14933-KT7-013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s="49" customFormat="1" ht="12.75">
      <c r="A32" s="50" t="s">
        <v>10</v>
      </c>
      <c r="B32" s="77" t="s">
        <v>7</v>
      </c>
      <c r="C32" s="34">
        <v>0.2</v>
      </c>
      <c r="D32" s="34">
        <v>0.16</v>
      </c>
      <c r="E32" s="38">
        <v>1.375</v>
      </c>
      <c r="F32" s="87">
        <f t="shared" si="3"/>
        <v>0.054133858267716536</v>
      </c>
      <c r="G32" s="51" t="str">
        <f>VLOOKUP(E32,'Shim Size &amp; Part Numbers'!B:C,2)</f>
        <v>14908-KT7-013</v>
      </c>
      <c r="H32" s="93">
        <f t="shared" si="5"/>
        <v>1.415</v>
      </c>
      <c r="I32" s="38">
        <f t="shared" si="4"/>
        <v>1.425</v>
      </c>
      <c r="J32" s="52" t="str">
        <f>VLOOKUP(I32,'Shim Size &amp; Part Numbers'!B:C,2)</f>
        <v>14910-KT7-013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s="46" customFormat="1" ht="12.75">
      <c r="A33" s="40" t="s">
        <v>13</v>
      </c>
      <c r="B33" s="75" t="s">
        <v>9</v>
      </c>
      <c r="C33" s="32">
        <v>0.2</v>
      </c>
      <c r="D33" s="32">
        <v>0.25</v>
      </c>
      <c r="E33" s="36">
        <v>1.812</v>
      </c>
      <c r="F33" s="85">
        <f t="shared" si="3"/>
        <v>0.07133858267716536</v>
      </c>
      <c r="G33" s="41" t="str">
        <f>VLOOKUP(E33,'Shim Size &amp; Part Numbers'!B:C,2)</f>
        <v>14925-KT7-013</v>
      </c>
      <c r="H33" s="92">
        <f t="shared" si="5"/>
        <v>1.762</v>
      </c>
      <c r="I33" s="36">
        <f t="shared" si="4"/>
        <v>1.75</v>
      </c>
      <c r="J33" s="42" t="str">
        <f>VLOOKUP(I33,'Shim Size &amp; Part Numbers'!B:C,2)</f>
        <v>14923-KT7-013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s="46" customFormat="1" ht="12.75">
      <c r="A34" s="40" t="s">
        <v>13</v>
      </c>
      <c r="B34" s="75" t="s">
        <v>8</v>
      </c>
      <c r="C34" s="32">
        <v>0.19</v>
      </c>
      <c r="D34" s="32">
        <v>0.25</v>
      </c>
      <c r="E34" s="36">
        <v>1.925</v>
      </c>
      <c r="F34" s="85">
        <f t="shared" si="3"/>
        <v>0.07578740157480315</v>
      </c>
      <c r="G34" s="41" t="str">
        <f>VLOOKUP(E34,'Shim Size &amp; Part Numbers'!B:C,2)</f>
        <v>14930-KT7-013</v>
      </c>
      <c r="H34" s="92">
        <f t="shared" si="5"/>
        <v>1.865</v>
      </c>
      <c r="I34" s="36">
        <f t="shared" si="4"/>
        <v>1.875</v>
      </c>
      <c r="J34" s="42" t="str">
        <f>VLOOKUP(I34,'Shim Size &amp; Part Numbers'!B:C,2)</f>
        <v>14928-KT7-013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s="49" customFormat="1" ht="12.75">
      <c r="A35" s="47" t="s">
        <v>13</v>
      </c>
      <c r="B35" s="76" t="s">
        <v>6</v>
      </c>
      <c r="C35" s="33">
        <v>0.13</v>
      </c>
      <c r="D35" s="33">
        <v>0.16</v>
      </c>
      <c r="E35" s="37">
        <v>1.625</v>
      </c>
      <c r="F35" s="86">
        <f t="shared" si="3"/>
        <v>0.0639763779527559</v>
      </c>
      <c r="G35" s="53" t="str">
        <f>VLOOKUP(E35,'Shim Size &amp; Part Numbers'!B:C,2)</f>
        <v>14918-KT7-013</v>
      </c>
      <c r="H35" s="14">
        <f t="shared" si="5"/>
        <v>1.595</v>
      </c>
      <c r="I35" s="37">
        <f t="shared" si="4"/>
        <v>1.6</v>
      </c>
      <c r="J35" s="48" t="str">
        <f>VLOOKUP(I35,'Shim Size &amp; Part Numbers'!B:C,2)</f>
        <v>14917-KT7-013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</row>
    <row r="36" spans="1:46" s="49" customFormat="1" ht="13.5" thickBot="1">
      <c r="A36" s="54" t="s">
        <v>13</v>
      </c>
      <c r="B36" s="78" t="s">
        <v>7</v>
      </c>
      <c r="C36" s="35">
        <v>0.12</v>
      </c>
      <c r="D36" s="35">
        <v>0.16</v>
      </c>
      <c r="E36" s="39">
        <v>1.5</v>
      </c>
      <c r="F36" s="88">
        <f t="shared" si="3"/>
        <v>0.05905511811023623</v>
      </c>
      <c r="G36" s="55" t="str">
        <f>VLOOKUP(E36,'Shim Size &amp; Part Numbers'!B:C,2)</f>
        <v>14913-KT7-013</v>
      </c>
      <c r="H36" s="94">
        <f t="shared" si="5"/>
        <v>1.46</v>
      </c>
      <c r="I36" s="39">
        <f t="shared" si="4"/>
        <v>1.4500000000000002</v>
      </c>
      <c r="J36" s="56" t="str">
        <f>VLOOKUP(I36,'Shim Size &amp; Part Numbers'!B:C,2)</f>
        <v>14911-KT7-013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</row>
    <row r="37" spans="1:10" ht="12.75">
      <c r="A37" s="57"/>
      <c r="B37" s="57"/>
      <c r="C37" s="15"/>
      <c r="D37" s="15"/>
      <c r="E37" s="58"/>
      <c r="F37" s="89"/>
      <c r="G37" s="59"/>
      <c r="H37" s="58"/>
      <c r="I37" s="58"/>
      <c r="J37" s="60"/>
    </row>
    <row r="38" spans="1:10" ht="12.75">
      <c r="A38" s="57"/>
      <c r="B38" s="57"/>
      <c r="C38" s="15"/>
      <c r="D38" s="15"/>
      <c r="E38" s="58"/>
      <c r="F38" s="89"/>
      <c r="G38" s="59"/>
      <c r="H38" s="58"/>
      <c r="I38" s="58"/>
      <c r="J38" s="60"/>
    </row>
    <row r="39" spans="1:10" ht="12.75">
      <c r="A39" s="57"/>
      <c r="B39" s="57"/>
      <c r="C39" s="15"/>
      <c r="D39" s="15"/>
      <c r="E39" s="58"/>
      <c r="F39" s="89"/>
      <c r="G39" s="59"/>
      <c r="H39" s="58"/>
      <c r="I39" s="58"/>
      <c r="J39" s="60"/>
    </row>
    <row r="40" spans="1:10" ht="12.75">
      <c r="A40" s="57"/>
      <c r="B40" s="57"/>
      <c r="C40" s="15"/>
      <c r="D40" s="15"/>
      <c r="E40" s="58"/>
      <c r="F40" s="89"/>
      <c r="G40" s="59"/>
      <c r="H40" s="58"/>
      <c r="I40" s="58"/>
      <c r="J40" s="60"/>
    </row>
    <row r="41" spans="1:10" ht="12.75">
      <c r="A41" s="57"/>
      <c r="B41" s="57"/>
      <c r="C41" s="15"/>
      <c r="D41" s="15"/>
      <c r="E41" s="58"/>
      <c r="F41" s="89"/>
      <c r="G41" s="59"/>
      <c r="H41" s="58"/>
      <c r="I41" s="58"/>
      <c r="J41" s="60"/>
    </row>
    <row r="42" spans="1:10" ht="12.75">
      <c r="A42" s="57"/>
      <c r="B42" s="57"/>
      <c r="C42" s="15"/>
      <c r="D42" s="15"/>
      <c r="E42" s="58"/>
      <c r="F42" s="89"/>
      <c r="G42" s="59"/>
      <c r="H42" s="58"/>
      <c r="I42" s="58"/>
      <c r="J42" s="60"/>
    </row>
    <row r="43" spans="1:10" ht="12.75">
      <c r="A43" s="57"/>
      <c r="B43" s="57"/>
      <c r="C43" s="15"/>
      <c r="D43" s="15"/>
      <c r="E43" s="58"/>
      <c r="F43" s="89"/>
      <c r="G43" s="59"/>
      <c r="H43" s="58"/>
      <c r="I43" s="58"/>
      <c r="J43" s="60"/>
    </row>
    <row r="44" spans="1:10" ht="12.75">
      <c r="A44" s="57"/>
      <c r="B44" s="57"/>
      <c r="C44" s="15"/>
      <c r="D44" s="15"/>
      <c r="E44" s="58"/>
      <c r="F44" s="89"/>
      <c r="G44" s="59"/>
      <c r="H44" s="58"/>
      <c r="I44" s="58"/>
      <c r="J44" s="60"/>
    </row>
    <row r="45" spans="1:10" ht="12.75">
      <c r="A45" s="57"/>
      <c r="B45" s="57"/>
      <c r="C45" s="15"/>
      <c r="D45" s="15"/>
      <c r="E45" s="58"/>
      <c r="F45" s="89"/>
      <c r="G45" s="59"/>
      <c r="H45" s="58"/>
      <c r="I45" s="58"/>
      <c r="J45" s="60"/>
    </row>
    <row r="46" spans="1:10" ht="12.75">
      <c r="A46" s="57"/>
      <c r="B46" s="57"/>
      <c r="C46" s="15"/>
      <c r="D46" s="15"/>
      <c r="E46" s="58"/>
      <c r="F46" s="89"/>
      <c r="G46" s="59"/>
      <c r="H46" s="58"/>
      <c r="I46" s="58"/>
      <c r="J46" s="60"/>
    </row>
    <row r="47" spans="1:10" ht="12.75">
      <c r="A47" s="57"/>
      <c r="B47" s="57"/>
      <c r="C47" s="15"/>
      <c r="D47" s="15"/>
      <c r="E47" s="58"/>
      <c r="F47" s="89"/>
      <c r="G47" s="59"/>
      <c r="H47" s="58"/>
      <c r="I47" s="58"/>
      <c r="J47" s="60"/>
    </row>
    <row r="48" spans="1:10" ht="12.75">
      <c r="A48" s="57"/>
      <c r="B48" s="10"/>
      <c r="C48" s="15"/>
      <c r="D48" s="71"/>
      <c r="E48" s="4"/>
      <c r="F48" s="89"/>
      <c r="G48" s="59"/>
      <c r="H48" s="58"/>
      <c r="I48" s="58"/>
      <c r="J48" s="60"/>
    </row>
    <row r="49" spans="1:10" ht="12.75">
      <c r="A49" s="57"/>
      <c r="B49" s="10"/>
      <c r="C49" s="15"/>
      <c r="D49" s="71"/>
      <c r="E49" s="4"/>
      <c r="F49" s="89"/>
      <c r="G49" s="59"/>
      <c r="H49" s="58"/>
      <c r="I49" s="58"/>
      <c r="J49" s="60"/>
    </row>
    <row r="50" spans="1:10" ht="12.75">
      <c r="A50" s="57"/>
      <c r="B50" s="10"/>
      <c r="C50" s="15"/>
      <c r="D50" s="71"/>
      <c r="E50" s="4"/>
      <c r="F50" s="89"/>
      <c r="G50" s="59"/>
      <c r="H50" s="58"/>
      <c r="I50" s="58"/>
      <c r="J50" s="60"/>
    </row>
    <row r="51" spans="1:10" ht="12.75">
      <c r="A51" s="57"/>
      <c r="B51" s="10"/>
      <c r="C51" s="15"/>
      <c r="D51" s="71"/>
      <c r="E51" s="4"/>
      <c r="F51" s="89"/>
      <c r="G51" s="59"/>
      <c r="H51" s="58"/>
      <c r="I51" s="58"/>
      <c r="J51" s="60"/>
    </row>
    <row r="52" spans="1:10" ht="12.75">
      <c r="A52" s="57"/>
      <c r="B52" s="10"/>
      <c r="C52" s="15"/>
      <c r="D52" s="71"/>
      <c r="E52" s="4"/>
      <c r="F52" s="89"/>
      <c r="G52" s="59"/>
      <c r="H52" s="58"/>
      <c r="I52" s="58"/>
      <c r="J52" s="60"/>
    </row>
    <row r="53" spans="1:10" ht="12.75">
      <c r="A53" s="57"/>
      <c r="B53" s="10"/>
      <c r="C53" s="15"/>
      <c r="D53" s="71"/>
      <c r="E53" s="4"/>
      <c r="F53" s="89"/>
      <c r="G53" s="59"/>
      <c r="H53" s="58"/>
      <c r="I53" s="58"/>
      <c r="J53" s="60"/>
    </row>
    <row r="54" spans="1:10" ht="12.75">
      <c r="A54" s="57"/>
      <c r="B54" s="10"/>
      <c r="C54" s="15"/>
      <c r="D54" s="71"/>
      <c r="E54" s="4"/>
      <c r="F54" s="89"/>
      <c r="G54" s="59"/>
      <c r="H54" s="58"/>
      <c r="I54" s="58"/>
      <c r="J54" s="60"/>
    </row>
    <row r="55" spans="1:10" ht="12.75">
      <c r="A55" s="57"/>
      <c r="B55" s="10"/>
      <c r="C55" s="15"/>
      <c r="D55" s="71"/>
      <c r="E55" s="4"/>
      <c r="F55" s="89"/>
      <c r="G55" s="59"/>
      <c r="H55" s="58"/>
      <c r="I55" s="58"/>
      <c r="J55" s="60"/>
    </row>
    <row r="56" spans="1:10" ht="12.75">
      <c r="A56" s="57"/>
      <c r="B56" s="10"/>
      <c r="C56" s="15"/>
      <c r="D56" s="71"/>
      <c r="E56" s="4"/>
      <c r="F56" s="89"/>
      <c r="G56" s="59"/>
      <c r="H56" s="58"/>
      <c r="I56" s="58"/>
      <c r="J56" s="60"/>
    </row>
    <row r="57" spans="1:10" ht="12.75">
      <c r="A57" s="57"/>
      <c r="B57" s="10"/>
      <c r="C57" s="15"/>
      <c r="D57" s="71"/>
      <c r="E57" s="4"/>
      <c r="F57" s="89"/>
      <c r="G57" s="59"/>
      <c r="H57" s="58"/>
      <c r="I57" s="58"/>
      <c r="J57" s="60"/>
    </row>
    <row r="58" spans="1:10" ht="12.75">
      <c r="A58" s="57"/>
      <c r="B58" s="10"/>
      <c r="C58" s="15"/>
      <c r="D58" s="71"/>
      <c r="E58" s="4"/>
      <c r="F58" s="89"/>
      <c r="G58" s="59"/>
      <c r="H58" s="58"/>
      <c r="I58" s="58"/>
      <c r="J58" s="60"/>
    </row>
    <row r="59" spans="1:10" ht="12.75">
      <c r="A59" s="57"/>
      <c r="B59" s="10"/>
      <c r="C59" s="15"/>
      <c r="D59" s="71"/>
      <c r="E59" s="4"/>
      <c r="F59" s="89"/>
      <c r="G59" s="59"/>
      <c r="H59" s="58"/>
      <c r="I59" s="58"/>
      <c r="J59" s="60"/>
    </row>
    <row r="60" spans="1:10" ht="12.75">
      <c r="A60" s="57"/>
      <c r="B60" s="10"/>
      <c r="C60" s="15"/>
      <c r="D60" s="71"/>
      <c r="E60" s="4"/>
      <c r="F60" s="89"/>
      <c r="G60" s="59"/>
      <c r="H60" s="58"/>
      <c r="I60" s="58"/>
      <c r="J60" s="60"/>
    </row>
    <row r="61" spans="1:10" ht="12.75">
      <c r="A61" s="57"/>
      <c r="B61" s="10"/>
      <c r="C61" s="15"/>
      <c r="D61" s="71"/>
      <c r="E61" s="4"/>
      <c r="F61" s="89"/>
      <c r="G61" s="59"/>
      <c r="H61" s="58"/>
      <c r="I61" s="58"/>
      <c r="J61" s="60"/>
    </row>
    <row r="62" spans="1:10" ht="12.75">
      <c r="A62" s="57"/>
      <c r="B62" s="10"/>
      <c r="C62" s="15"/>
      <c r="D62" s="71"/>
      <c r="E62" s="4"/>
      <c r="F62" s="89"/>
      <c r="G62" s="59"/>
      <c r="H62" s="58"/>
      <c r="I62" s="58"/>
      <c r="J62" s="60"/>
    </row>
    <row r="63" spans="1:10" ht="12.75">
      <c r="A63" s="57"/>
      <c r="B63" s="10"/>
      <c r="C63" s="15"/>
      <c r="D63" s="71"/>
      <c r="E63" s="4"/>
      <c r="F63" s="89"/>
      <c r="G63" s="59"/>
      <c r="H63" s="58"/>
      <c r="I63" s="58"/>
      <c r="J63" s="60"/>
    </row>
    <row r="64" spans="1:10" ht="12.75">
      <c r="A64" s="57"/>
      <c r="B64" s="10"/>
      <c r="C64" s="15"/>
      <c r="D64" s="71"/>
      <c r="E64" s="4"/>
      <c r="F64" s="89"/>
      <c r="G64" s="59"/>
      <c r="H64" s="58"/>
      <c r="I64" s="58"/>
      <c r="J64" s="60"/>
    </row>
    <row r="65" spans="1:10" ht="12.75">
      <c r="A65" s="57"/>
      <c r="B65" s="10"/>
      <c r="C65" s="15"/>
      <c r="D65" s="71"/>
      <c r="E65" s="4"/>
      <c r="F65" s="89"/>
      <c r="G65" s="59"/>
      <c r="H65" s="58"/>
      <c r="I65" s="58"/>
      <c r="J65" s="60"/>
    </row>
    <row r="66" spans="1:10" ht="12.75">
      <c r="A66" s="57"/>
      <c r="B66" s="10"/>
      <c r="C66" s="15"/>
      <c r="D66" s="71"/>
      <c r="E66" s="4"/>
      <c r="F66" s="89"/>
      <c r="G66" s="59"/>
      <c r="H66" s="58"/>
      <c r="I66" s="58"/>
      <c r="J66" s="60"/>
    </row>
    <row r="67" spans="1:10" ht="12.75">
      <c r="A67" s="57"/>
      <c r="B67" s="10"/>
      <c r="C67" s="15"/>
      <c r="D67" s="71"/>
      <c r="E67" s="4"/>
      <c r="F67" s="89"/>
      <c r="G67" s="59"/>
      <c r="H67" s="58"/>
      <c r="I67" s="58"/>
      <c r="J67" s="60"/>
    </row>
    <row r="68" spans="1:10" ht="12.75">
      <c r="A68" s="57"/>
      <c r="B68" s="10"/>
      <c r="C68" s="15"/>
      <c r="D68" s="71"/>
      <c r="E68" s="4"/>
      <c r="F68" s="89"/>
      <c r="G68" s="59"/>
      <c r="H68" s="58"/>
      <c r="I68" s="58"/>
      <c r="J68" s="60"/>
    </row>
    <row r="69" spans="1:10" ht="12.75">
      <c r="A69" s="57"/>
      <c r="B69" s="10"/>
      <c r="C69" s="15"/>
      <c r="D69" s="71"/>
      <c r="E69" s="4"/>
      <c r="F69" s="89"/>
      <c r="G69" s="59"/>
      <c r="H69" s="58"/>
      <c r="I69" s="58"/>
      <c r="J69" s="60"/>
    </row>
    <row r="70" spans="1:9" ht="12.75">
      <c r="A70" s="62"/>
      <c r="B70" s="1"/>
      <c r="D70" s="72"/>
      <c r="E70" s="4"/>
      <c r="F70" s="89"/>
      <c r="G70" s="59"/>
      <c r="H70" s="58"/>
      <c r="I70" s="58"/>
    </row>
    <row r="71" spans="1:9" ht="12.75">
      <c r="A71" s="62"/>
      <c r="B71" s="1"/>
      <c r="D71" s="72"/>
      <c r="E71" s="4"/>
      <c r="F71" s="89"/>
      <c r="G71" s="59"/>
      <c r="H71" s="58"/>
      <c r="I71" s="58"/>
    </row>
    <row r="72" spans="1:9" ht="12.75">
      <c r="A72" s="62"/>
      <c r="B72" s="1"/>
      <c r="D72" s="72"/>
      <c r="E72" s="4"/>
      <c r="F72" s="89"/>
      <c r="G72" s="59"/>
      <c r="H72" s="58"/>
      <c r="I72" s="58"/>
    </row>
    <row r="73" spans="1:9" ht="12.75">
      <c r="A73" s="62"/>
      <c r="B73" s="1"/>
      <c r="D73" s="72"/>
      <c r="E73" s="4"/>
      <c r="F73" s="89"/>
      <c r="G73" s="59"/>
      <c r="H73" s="58"/>
      <c r="I73" s="58"/>
    </row>
    <row r="74" spans="1:9" ht="12.75">
      <c r="A74" s="62"/>
      <c r="B74" s="1"/>
      <c r="D74" s="72"/>
      <c r="E74" s="4"/>
      <c r="F74" s="89"/>
      <c r="G74" s="59"/>
      <c r="H74" s="58"/>
      <c r="I74" s="58"/>
    </row>
    <row r="75" spans="1:9" ht="12.75">
      <c r="A75" s="62"/>
      <c r="B75" s="1"/>
      <c r="D75" s="72"/>
      <c r="E75" s="4"/>
      <c r="F75" s="89"/>
      <c r="G75" s="59"/>
      <c r="H75" s="58"/>
      <c r="I75" s="58"/>
    </row>
    <row r="76" spans="1:9" ht="12.75">
      <c r="A76" s="62"/>
      <c r="B76" s="1"/>
      <c r="D76" s="72"/>
      <c r="E76" s="4"/>
      <c r="F76" s="89"/>
      <c r="G76" s="59"/>
      <c r="H76" s="58"/>
      <c r="I76" s="58"/>
    </row>
    <row r="77" spans="1:9" ht="12.75">
      <c r="A77" s="62"/>
      <c r="B77" s="1"/>
      <c r="D77" s="72"/>
      <c r="E77" s="4"/>
      <c r="F77" s="89"/>
      <c r="G77" s="59"/>
      <c r="H77" s="58"/>
      <c r="I77" s="58"/>
    </row>
    <row r="78" spans="1:9" ht="12.75">
      <c r="A78" s="62"/>
      <c r="B78" s="1"/>
      <c r="D78" s="72"/>
      <c r="E78" s="4"/>
      <c r="F78" s="89"/>
      <c r="G78" s="59"/>
      <c r="H78" s="58"/>
      <c r="I78" s="58"/>
    </row>
    <row r="79" spans="1:9" ht="12.75">
      <c r="A79" s="62"/>
      <c r="B79" s="1"/>
      <c r="D79" s="72"/>
      <c r="E79" s="4"/>
      <c r="F79" s="89"/>
      <c r="G79" s="59"/>
      <c r="H79" s="58"/>
      <c r="I79" s="58"/>
    </row>
    <row r="80" spans="1:10" ht="12.75">
      <c r="A80" s="62"/>
      <c r="B80" s="1"/>
      <c r="D80" s="72"/>
      <c r="E80" s="25"/>
      <c r="F80" s="90"/>
      <c r="G80" s="65"/>
      <c r="H80" s="84"/>
      <c r="I80" s="84"/>
      <c r="J80" s="66"/>
    </row>
    <row r="81" spans="1:5" ht="12.75">
      <c r="A81" s="67"/>
      <c r="B81" s="2"/>
      <c r="C81" s="70"/>
      <c r="D81" s="73"/>
      <c r="E81" s="26"/>
    </row>
  </sheetData>
  <printOptions horizontalCentered="1"/>
  <pageMargins left="0.5" right="0.5" top="1" bottom="1" header="0.5" footer="0.5"/>
  <pageSetup fitToHeight="1" fitToWidth="1" horizontalDpi="600" verticalDpi="600" orientation="landscape" scale="67" r:id="rId1"/>
  <headerFooter alignWithMargins="0">
    <oddHeader>&amp;L&amp;"Arial,Bold"&amp;12Honda ST1100 Valve Clearance Worksheet</oddHeader>
    <oddFooter>&amp;LDaniel Horton
STOC #1256
22 June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1">
      <selection activeCell="C7" sqref="C7"/>
    </sheetView>
  </sheetViews>
  <sheetFormatPr defaultColWidth="9.140625" defaultRowHeight="12.75"/>
  <cols>
    <col min="1" max="1" width="20.7109375" style="24" customWidth="1"/>
    <col min="2" max="2" width="20.7109375" style="5" customWidth="1"/>
    <col min="3" max="3" width="20.7109375" style="17" customWidth="1"/>
    <col min="4" max="4" width="14.7109375" style="0" bestFit="1" customWidth="1"/>
    <col min="5" max="6" width="17.28125" style="0" bestFit="1" customWidth="1"/>
  </cols>
  <sheetData>
    <row r="1" spans="1:6" ht="12.75">
      <c r="A1" s="100" t="s">
        <v>2</v>
      </c>
      <c r="B1" s="20" t="s">
        <v>1</v>
      </c>
      <c r="C1" s="21" t="s">
        <v>3</v>
      </c>
      <c r="D1" s="13"/>
      <c r="E1" s="13"/>
      <c r="F1" s="13"/>
    </row>
    <row r="2" spans="1:3" ht="12.75">
      <c r="A2" s="101">
        <f aca="true" t="shared" si="0" ref="A2:A33">B2/25.4</f>
        <v>0.047244094488188976</v>
      </c>
      <c r="B2" s="7">
        <v>1.2</v>
      </c>
      <c r="C2" s="18" t="str">
        <f>14901&amp;"-KT7-013"</f>
        <v>14901-KT7-013</v>
      </c>
    </row>
    <row r="3" spans="1:3" ht="12.75">
      <c r="A3" s="23">
        <f t="shared" si="0"/>
        <v>0.04822834645669292</v>
      </c>
      <c r="B3" s="7">
        <v>1.225</v>
      </c>
      <c r="C3" s="18" t="str">
        <f>14902&amp;"-KT7-013"</f>
        <v>14902-KT7-013</v>
      </c>
    </row>
    <row r="4" spans="1:3" ht="12.75">
      <c r="A4" s="23">
        <f t="shared" si="0"/>
        <v>0.04921259842519685</v>
      </c>
      <c r="B4" s="7">
        <v>1.25</v>
      </c>
      <c r="C4" s="18" t="str">
        <f>14903&amp;"-KT7-013"</f>
        <v>14903-KT7-013</v>
      </c>
    </row>
    <row r="5" spans="1:3" ht="12.75">
      <c r="A5" s="23">
        <f t="shared" si="0"/>
        <v>0.05019685039370079</v>
      </c>
      <c r="B5" s="7">
        <v>1.275</v>
      </c>
      <c r="C5" s="18" t="str">
        <f>14904&amp;"-KT7-013"</f>
        <v>14904-KT7-013</v>
      </c>
    </row>
    <row r="6" spans="1:3" ht="12.75">
      <c r="A6" s="23">
        <f t="shared" si="0"/>
        <v>0.05118110236220473</v>
      </c>
      <c r="B6" s="7">
        <v>1.3</v>
      </c>
      <c r="C6" s="18" t="str">
        <f>14905&amp;"-KT7-013"</f>
        <v>14905-KT7-013</v>
      </c>
    </row>
    <row r="7" spans="1:3" ht="12.75">
      <c r="A7" s="23">
        <f t="shared" si="0"/>
        <v>0.052165354330708666</v>
      </c>
      <c r="B7" s="7">
        <v>1.325</v>
      </c>
      <c r="C7" s="18" t="str">
        <f>14906&amp;"-KT7-013"</f>
        <v>14906-KT7-013</v>
      </c>
    </row>
    <row r="8" spans="1:3" ht="12.75">
      <c r="A8" s="23">
        <f t="shared" si="0"/>
        <v>0.05314960629921261</v>
      </c>
      <c r="B8" s="7">
        <v>1.35</v>
      </c>
      <c r="C8" s="18" t="str">
        <f>14907&amp;"-KT7-013"</f>
        <v>14907-KT7-013</v>
      </c>
    </row>
    <row r="9" spans="1:3" ht="12.75">
      <c r="A9" s="23">
        <f t="shared" si="0"/>
        <v>0.054133858267716536</v>
      </c>
      <c r="B9" s="7">
        <v>1.375</v>
      </c>
      <c r="C9" s="18" t="str">
        <f>14908&amp;"-KT7-013"</f>
        <v>14908-KT7-013</v>
      </c>
    </row>
    <row r="10" spans="1:3" ht="12.75">
      <c r="A10" s="23">
        <f t="shared" si="0"/>
        <v>0.05511811023622047</v>
      </c>
      <c r="B10" s="7">
        <v>1.4</v>
      </c>
      <c r="C10" s="18" t="str">
        <f>14909&amp;"-KT7-013"</f>
        <v>14909-KT7-013</v>
      </c>
    </row>
    <row r="11" spans="1:3" ht="12.75">
      <c r="A11" s="23">
        <f t="shared" si="0"/>
        <v>0.056102362204724414</v>
      </c>
      <c r="B11" s="7">
        <v>1.425</v>
      </c>
      <c r="C11" s="18" t="str">
        <f>14910&amp;"-KT7-013"</f>
        <v>14910-KT7-013</v>
      </c>
    </row>
    <row r="12" spans="1:3" ht="12.75">
      <c r="A12" s="23">
        <f t="shared" si="0"/>
        <v>0.05708661417322835</v>
      </c>
      <c r="B12" s="7">
        <v>1.45</v>
      </c>
      <c r="C12" s="18" t="str">
        <f>14911&amp;"-KT7-013"</f>
        <v>14911-KT7-013</v>
      </c>
    </row>
    <row r="13" spans="1:3" ht="12.75">
      <c r="A13" s="23">
        <f t="shared" si="0"/>
        <v>0.05807086614173229</v>
      </c>
      <c r="B13" s="7">
        <v>1.475</v>
      </c>
      <c r="C13" s="18" t="str">
        <f>14912&amp;"-KT7-013"</f>
        <v>14912-KT7-013</v>
      </c>
    </row>
    <row r="14" spans="1:3" ht="12.75">
      <c r="A14" s="23">
        <f t="shared" si="0"/>
        <v>0.05905511811023623</v>
      </c>
      <c r="B14" s="7">
        <v>1.5</v>
      </c>
      <c r="C14" s="18" t="str">
        <f>14913&amp;"-KT7-013"</f>
        <v>14913-KT7-013</v>
      </c>
    </row>
    <row r="15" spans="1:3" ht="12.75">
      <c r="A15" s="23">
        <f t="shared" si="0"/>
        <v>0.060039370078740155</v>
      </c>
      <c r="B15" s="7">
        <v>1.525</v>
      </c>
      <c r="C15" s="18" t="str">
        <f>14914&amp;"-KT7-013"</f>
        <v>14914-KT7-013</v>
      </c>
    </row>
    <row r="16" spans="1:3" ht="12.75">
      <c r="A16" s="23">
        <f t="shared" si="0"/>
        <v>0.0610236220472441</v>
      </c>
      <c r="B16" s="7">
        <v>1.55</v>
      </c>
      <c r="C16" s="18" t="str">
        <f>14915&amp;"-KT7-013"</f>
        <v>14915-KT7-013</v>
      </c>
    </row>
    <row r="17" spans="1:3" ht="12.75">
      <c r="A17" s="23">
        <f t="shared" si="0"/>
        <v>0.06200787401574803</v>
      </c>
      <c r="B17" s="7">
        <v>1.575</v>
      </c>
      <c r="C17" s="18" t="str">
        <f>14916&amp;"-KT7-013"</f>
        <v>14916-KT7-013</v>
      </c>
    </row>
    <row r="18" spans="1:3" ht="12.75">
      <c r="A18" s="23">
        <f t="shared" si="0"/>
        <v>0.06299212598425198</v>
      </c>
      <c r="B18" s="7">
        <v>1.6</v>
      </c>
      <c r="C18" s="18" t="str">
        <f>14917&amp;"-KT7-013"</f>
        <v>14917-KT7-013</v>
      </c>
    </row>
    <row r="19" spans="1:3" ht="12.75">
      <c r="A19" s="23">
        <f t="shared" si="0"/>
        <v>0.0639763779527559</v>
      </c>
      <c r="B19" s="7">
        <v>1.625</v>
      </c>
      <c r="C19" s="18" t="str">
        <f>14918&amp;"-KT7-013"</f>
        <v>14918-KT7-013</v>
      </c>
    </row>
    <row r="20" spans="1:3" ht="12.75">
      <c r="A20" s="23">
        <f t="shared" si="0"/>
        <v>0.06496062992125984</v>
      </c>
      <c r="B20" s="7">
        <v>1.65</v>
      </c>
      <c r="C20" s="18" t="str">
        <f>14919&amp;"-KT7-013"</f>
        <v>14919-KT7-013</v>
      </c>
    </row>
    <row r="21" spans="1:3" ht="12.75">
      <c r="A21" s="23">
        <f t="shared" si="0"/>
        <v>0.06594488188976379</v>
      </c>
      <c r="B21" s="7">
        <v>1.675</v>
      </c>
      <c r="C21" s="18" t="str">
        <f>14920&amp;"-KT7-013"</f>
        <v>14920-KT7-013</v>
      </c>
    </row>
    <row r="22" spans="1:3" ht="12.75">
      <c r="A22" s="23">
        <f t="shared" si="0"/>
        <v>0.06692913385826772</v>
      </c>
      <c r="B22" s="7">
        <v>1.7</v>
      </c>
      <c r="C22" s="18" t="str">
        <f>14921&amp;"-KT7-013"</f>
        <v>14921-KT7-013</v>
      </c>
    </row>
    <row r="23" spans="1:3" ht="12.75">
      <c r="A23" s="23">
        <f t="shared" si="0"/>
        <v>0.06791338582677166</v>
      </c>
      <c r="B23" s="7">
        <v>1.725</v>
      </c>
      <c r="C23" s="18" t="str">
        <f>14922&amp;"-KT7-013"</f>
        <v>14922-KT7-013</v>
      </c>
    </row>
    <row r="24" spans="1:3" ht="12.75">
      <c r="A24" s="23">
        <f t="shared" si="0"/>
        <v>0.0688976377952756</v>
      </c>
      <c r="B24" s="7">
        <v>1.75</v>
      </c>
      <c r="C24" s="18" t="str">
        <f>14923&amp;"-KT7-013"</f>
        <v>14923-KT7-013</v>
      </c>
    </row>
    <row r="25" spans="1:3" ht="12.75">
      <c r="A25" s="23">
        <f t="shared" si="0"/>
        <v>0.06988188976377953</v>
      </c>
      <c r="B25" s="7">
        <v>1.775</v>
      </c>
      <c r="C25" s="18" t="str">
        <f>14924&amp;"-KT7-013"</f>
        <v>14924-KT7-013</v>
      </c>
    </row>
    <row r="26" spans="1:3" ht="12.75">
      <c r="A26" s="23">
        <f t="shared" si="0"/>
        <v>0.07086614173228346</v>
      </c>
      <c r="B26" s="7">
        <v>1.8</v>
      </c>
      <c r="C26" s="18" t="str">
        <f>14925&amp;"-KT7-013"</f>
        <v>14925-KT7-013</v>
      </c>
    </row>
    <row r="27" spans="1:3" ht="12.75">
      <c r="A27" s="23">
        <f t="shared" si="0"/>
        <v>0.0718503937007874</v>
      </c>
      <c r="B27" s="7">
        <v>1.825</v>
      </c>
      <c r="C27" s="18" t="str">
        <f>14926&amp;"-KT7-013"</f>
        <v>14926-KT7-013</v>
      </c>
    </row>
    <row r="28" spans="1:3" ht="12.75">
      <c r="A28" s="23">
        <f t="shared" si="0"/>
        <v>0.07283464566929135</v>
      </c>
      <c r="B28" s="7">
        <v>1.85</v>
      </c>
      <c r="C28" s="18" t="str">
        <f>14927&amp;"-KT7-013"</f>
        <v>14927-KT7-013</v>
      </c>
    </row>
    <row r="29" spans="1:3" ht="12.75">
      <c r="A29" s="23">
        <f t="shared" si="0"/>
        <v>0.07381889763779528</v>
      </c>
      <c r="B29" s="7">
        <v>1.875</v>
      </c>
      <c r="C29" s="18" t="str">
        <f>14928&amp;"-KT7-013"</f>
        <v>14928-KT7-013</v>
      </c>
    </row>
    <row r="30" spans="1:3" ht="12.75">
      <c r="A30" s="23">
        <f t="shared" si="0"/>
        <v>0.07480314960629922</v>
      </c>
      <c r="B30" s="7">
        <v>1.9</v>
      </c>
      <c r="C30" s="18" t="str">
        <f>14929&amp;"-KT7-013"</f>
        <v>14929-KT7-013</v>
      </c>
    </row>
    <row r="31" spans="1:3" ht="12.75">
      <c r="A31" s="23">
        <f t="shared" si="0"/>
        <v>0.07578740157480315</v>
      </c>
      <c r="B31" s="7">
        <v>1.925</v>
      </c>
      <c r="C31" s="18" t="str">
        <f>14930&amp;"-KT7-013"</f>
        <v>14930-KT7-013</v>
      </c>
    </row>
    <row r="32" spans="1:3" ht="12.75">
      <c r="A32" s="23">
        <f t="shared" si="0"/>
        <v>0.07677165354330709</v>
      </c>
      <c r="B32" s="7">
        <v>1.95</v>
      </c>
      <c r="C32" s="18" t="str">
        <f>14931&amp;"-KT7-013"</f>
        <v>14931-KT7-013</v>
      </c>
    </row>
    <row r="33" spans="1:3" ht="12.75">
      <c r="A33" s="23">
        <f t="shared" si="0"/>
        <v>0.07775590551181104</v>
      </c>
      <c r="B33" s="7">
        <v>1.975</v>
      </c>
      <c r="C33" s="18" t="str">
        <f>14932&amp;"-KT7-013"</f>
        <v>14932-KT7-013</v>
      </c>
    </row>
    <row r="34" spans="1:3" ht="12.75">
      <c r="A34" s="23">
        <f aca="true" t="shared" si="1" ref="A34:A65">B34/25.4</f>
        <v>0.07874015748031496</v>
      </c>
      <c r="B34" s="7">
        <v>2</v>
      </c>
      <c r="C34" s="18" t="str">
        <f>14933&amp;"-KT7-013"</f>
        <v>14933-KT7-013</v>
      </c>
    </row>
    <row r="35" spans="1:3" s="5" customFormat="1" ht="12.75">
      <c r="A35" s="23">
        <f t="shared" si="1"/>
        <v>0.0797244094488189</v>
      </c>
      <c r="B35" s="7">
        <v>2.025</v>
      </c>
      <c r="C35" s="18" t="str">
        <f>14934&amp;"-KT7-013"</f>
        <v>14934-KT7-013</v>
      </c>
    </row>
    <row r="36" spans="1:6" s="5" customFormat="1" ht="12.75">
      <c r="A36" s="23">
        <f t="shared" si="1"/>
        <v>0.08070866141732283</v>
      </c>
      <c r="B36" s="7">
        <v>2.05</v>
      </c>
      <c r="C36" s="18" t="str">
        <f>14935&amp;"-KT7-013"</f>
        <v>14935-KT7-013</v>
      </c>
      <c r="F36" s="11"/>
    </row>
    <row r="37" spans="1:3" s="5" customFormat="1" ht="12.75">
      <c r="A37" s="23">
        <f t="shared" si="1"/>
        <v>0.08169291338582678</v>
      </c>
      <c r="B37" s="7">
        <v>2.075</v>
      </c>
      <c r="C37" s="18" t="str">
        <f>14936&amp;"-KT7-013"</f>
        <v>14936-KT7-013</v>
      </c>
    </row>
    <row r="38" spans="1:3" s="5" customFormat="1" ht="12.75">
      <c r="A38" s="23">
        <f t="shared" si="1"/>
        <v>0.08267716535433071</v>
      </c>
      <c r="B38" s="7">
        <v>2.1</v>
      </c>
      <c r="C38" s="18" t="str">
        <f>14937&amp;"-KT7-013"</f>
        <v>14937-KT7-013</v>
      </c>
    </row>
    <row r="39" spans="1:3" ht="12.75">
      <c r="A39" s="23">
        <f t="shared" si="1"/>
        <v>0.08366141732283465</v>
      </c>
      <c r="B39" s="7">
        <v>2.125</v>
      </c>
      <c r="C39" s="18" t="str">
        <f>14938&amp;"-KT7-013"</f>
        <v>14938-KT7-013</v>
      </c>
    </row>
    <row r="40" spans="1:3" ht="12.75">
      <c r="A40" s="23">
        <f t="shared" si="1"/>
        <v>0.08464566929133858</v>
      </c>
      <c r="B40" s="7">
        <v>2.15</v>
      </c>
      <c r="C40" s="18" t="str">
        <f>14939&amp;"-KT7-013"</f>
        <v>14939-KT7-013</v>
      </c>
    </row>
    <row r="41" spans="1:3" ht="12.75">
      <c r="A41" s="23">
        <f t="shared" si="1"/>
        <v>0.08562992125984292</v>
      </c>
      <c r="B41" s="7">
        <v>2.17500000000001</v>
      </c>
      <c r="C41" s="18" t="str">
        <f>14940&amp;"-KT7-013"</f>
        <v>14940-KT7-013</v>
      </c>
    </row>
    <row r="42" spans="1:3" ht="12.75">
      <c r="A42" s="23">
        <f t="shared" si="1"/>
        <v>0.08661417322834686</v>
      </c>
      <c r="B42" s="7">
        <v>2.20000000000001</v>
      </c>
      <c r="C42" s="18" t="str">
        <f>14941&amp;"-KT7-013"</f>
        <v>14941-KT7-013</v>
      </c>
    </row>
    <row r="43" spans="1:3" ht="12.75">
      <c r="A43" s="23">
        <f t="shared" si="1"/>
        <v>0.0875984251968504</v>
      </c>
      <c r="B43" s="7">
        <v>2.225</v>
      </c>
      <c r="C43" s="18" t="str">
        <f>14942&amp;"-KT7-013"</f>
        <v>14942-KT7-013</v>
      </c>
    </row>
    <row r="44" spans="1:3" ht="12.75">
      <c r="A44" s="23">
        <f t="shared" si="1"/>
        <v>0.08858267716535434</v>
      </c>
      <c r="B44" s="7">
        <v>2.25</v>
      </c>
      <c r="C44" s="18" t="str">
        <f>14943&amp;"-KT7-013"</f>
        <v>14943-KT7-013</v>
      </c>
    </row>
    <row r="45" spans="1:3" ht="12.75">
      <c r="A45" s="23">
        <f t="shared" si="1"/>
        <v>0.08956692913385828</v>
      </c>
      <c r="B45" s="7">
        <v>2.275</v>
      </c>
      <c r="C45" s="18" t="str">
        <f>14944&amp;"-KT7-013"</f>
        <v>14944-KT7-013</v>
      </c>
    </row>
    <row r="46" spans="1:3" ht="12.75">
      <c r="A46" s="23">
        <f t="shared" si="1"/>
        <v>0.0905511811023626</v>
      </c>
      <c r="B46" s="7">
        <v>2.30000000000001</v>
      </c>
      <c r="C46" s="18" t="str">
        <f>14945&amp;"-KT7-013"</f>
        <v>14945-KT7-013</v>
      </c>
    </row>
    <row r="47" spans="1:3" ht="12.75">
      <c r="A47" s="23">
        <f t="shared" si="1"/>
        <v>0.09153543307086653</v>
      </c>
      <c r="B47" s="7">
        <v>2.32500000000001</v>
      </c>
      <c r="C47" s="18" t="str">
        <f>14946&amp;"-KT7-013"</f>
        <v>14946-KT7-013</v>
      </c>
    </row>
    <row r="48" spans="1:3" ht="12.75">
      <c r="A48" s="23">
        <f t="shared" si="1"/>
        <v>0.09251968503937047</v>
      </c>
      <c r="B48" s="7">
        <v>2.35000000000001</v>
      </c>
      <c r="C48" s="18" t="str">
        <f>14947&amp;"-KT7-013"</f>
        <v>14947-KT7-013</v>
      </c>
    </row>
    <row r="49" spans="1:3" ht="12.75">
      <c r="A49" s="23">
        <f t="shared" si="1"/>
        <v>0.09350393700787442</v>
      </c>
      <c r="B49" s="7">
        <v>2.37500000000001</v>
      </c>
      <c r="C49" s="18" t="str">
        <f>14948&amp;"-KT7-013"</f>
        <v>14948-KT7-013</v>
      </c>
    </row>
    <row r="50" spans="1:3" ht="12.75">
      <c r="A50" s="23">
        <f t="shared" si="1"/>
        <v>0.09448818897637835</v>
      </c>
      <c r="B50" s="7">
        <v>2.40000000000001</v>
      </c>
      <c r="C50" s="18" t="str">
        <f>14949&amp;"-KT7-013"</f>
        <v>14949-KT7-013</v>
      </c>
    </row>
    <row r="51" spans="1:3" ht="12.75">
      <c r="A51" s="23">
        <f t="shared" si="1"/>
        <v>0.09547244094488229</v>
      </c>
      <c r="B51" s="7">
        <v>2.42500000000001</v>
      </c>
      <c r="C51" s="18" t="str">
        <f>14950&amp;"-KT7-013"</f>
        <v>14950-KT7-013</v>
      </c>
    </row>
    <row r="52" spans="1:3" ht="12.75">
      <c r="A52" s="23">
        <f t="shared" si="1"/>
        <v>0.09645669291338622</v>
      </c>
      <c r="B52" s="7">
        <v>2.45000000000001</v>
      </c>
      <c r="C52" s="18" t="str">
        <f>14951&amp;"-KT7-013"</f>
        <v>14951-KT7-013</v>
      </c>
    </row>
    <row r="53" spans="1:3" ht="12.75">
      <c r="A53" s="23">
        <f t="shared" si="1"/>
        <v>0.09744094488189016</v>
      </c>
      <c r="B53" s="7">
        <v>2.47500000000001</v>
      </c>
      <c r="C53" s="18" t="str">
        <f>14952&amp;"-KT7-013"</f>
        <v>14952-KT7-013</v>
      </c>
    </row>
    <row r="54" spans="1:3" ht="12.75">
      <c r="A54" s="23">
        <f t="shared" si="1"/>
        <v>0.09842519685039411</v>
      </c>
      <c r="B54" s="7">
        <v>2.50000000000001</v>
      </c>
      <c r="C54" s="18" t="str">
        <f>14953&amp;"-KT7-013"</f>
        <v>14953-KT7-013</v>
      </c>
    </row>
    <row r="55" spans="1:3" ht="12.75">
      <c r="A55" s="23">
        <f t="shared" si="1"/>
        <v>0.09940944881889804</v>
      </c>
      <c r="B55" s="7">
        <v>2.52500000000001</v>
      </c>
      <c r="C55" s="18" t="str">
        <f>14954&amp;"-KT7-013"</f>
        <v>14954-KT7-013</v>
      </c>
    </row>
    <row r="56" spans="1:3" ht="12.75">
      <c r="A56" s="23">
        <f t="shared" si="1"/>
        <v>0.10039370078740198</v>
      </c>
      <c r="B56" s="7">
        <v>2.55000000000001</v>
      </c>
      <c r="C56" s="18" t="str">
        <f>14955&amp;"-KT7-013"</f>
        <v>14955-KT7-013</v>
      </c>
    </row>
    <row r="57" spans="1:3" ht="12.75">
      <c r="A57" s="23">
        <f t="shared" si="1"/>
        <v>0.10137795275590591</v>
      </c>
      <c r="B57" s="7">
        <v>2.57500000000001</v>
      </c>
      <c r="C57" s="18" t="str">
        <f>14956&amp;"-KT7-013"</f>
        <v>14956-KT7-013</v>
      </c>
    </row>
    <row r="58" spans="1:3" ht="12.75">
      <c r="A58" s="23">
        <f t="shared" si="1"/>
        <v>0.10236220472440984</v>
      </c>
      <c r="B58" s="7">
        <v>2.60000000000001</v>
      </c>
      <c r="C58" s="18" t="str">
        <f>14957&amp;"-KT7-013"</f>
        <v>14957-KT7-013</v>
      </c>
    </row>
    <row r="59" spans="1:3" ht="12.75">
      <c r="A59" s="23">
        <f t="shared" si="1"/>
        <v>0.1033464566929138</v>
      </c>
      <c r="B59" s="7">
        <v>2.62500000000001</v>
      </c>
      <c r="C59" s="18" t="str">
        <f>14958&amp;"-KT7-013"</f>
        <v>14958-KT7-013</v>
      </c>
    </row>
    <row r="60" spans="1:3" ht="12.75">
      <c r="A60" s="23">
        <f t="shared" si="1"/>
        <v>0.10433070866141772</v>
      </c>
      <c r="B60" s="7">
        <v>2.65000000000001</v>
      </c>
      <c r="C60" s="18" t="str">
        <f>14959&amp;"-KT7-013"</f>
        <v>14959-KT7-013</v>
      </c>
    </row>
    <row r="61" spans="1:3" ht="12.75">
      <c r="A61" s="23">
        <f t="shared" si="1"/>
        <v>0.10531496062992166</v>
      </c>
      <c r="B61" s="7">
        <v>2.67500000000001</v>
      </c>
      <c r="C61" s="18" t="str">
        <f>14960&amp;"-KT7-013"</f>
        <v>14960-KT7-013</v>
      </c>
    </row>
    <row r="62" spans="1:3" ht="12.75">
      <c r="A62" s="23">
        <f t="shared" si="1"/>
        <v>0.10629921259842559</v>
      </c>
      <c r="B62" s="7">
        <v>2.70000000000001</v>
      </c>
      <c r="C62" s="18" t="str">
        <f>14961&amp;"-KT7-013"</f>
        <v>14961-KT7-013</v>
      </c>
    </row>
    <row r="63" spans="1:3" ht="12.75">
      <c r="A63" s="23">
        <f t="shared" si="1"/>
        <v>0.10728346456692953</v>
      </c>
      <c r="B63" s="7">
        <v>2.72500000000001</v>
      </c>
      <c r="C63" s="18" t="str">
        <f>14962&amp;"-KT7-013"</f>
        <v>14962-KT7-013</v>
      </c>
    </row>
    <row r="64" spans="1:3" ht="12.75">
      <c r="A64" s="23">
        <f t="shared" si="1"/>
        <v>0.10826771653543348</v>
      </c>
      <c r="B64" s="7">
        <v>2.75000000000001</v>
      </c>
      <c r="C64" s="18" t="str">
        <f>14963&amp;"-KT7-013"</f>
        <v>14963-KT7-013</v>
      </c>
    </row>
    <row r="65" spans="1:3" ht="12.75">
      <c r="A65" s="23">
        <f t="shared" si="1"/>
        <v>0.10925196850393741</v>
      </c>
      <c r="B65" s="7">
        <v>2.77500000000001</v>
      </c>
      <c r="C65" s="18" t="str">
        <f>14964&amp;"-KT7-013"</f>
        <v>14964-KT7-013</v>
      </c>
    </row>
    <row r="66" spans="1:3" ht="12.75">
      <c r="A66" s="23">
        <f>B66/25.4</f>
        <v>0.11023622047244135</v>
      </c>
      <c r="B66" s="7">
        <v>2.80000000000001</v>
      </c>
      <c r="C66" s="18" t="str">
        <f>14965&amp;"-KT7-013"</f>
        <v>14965-KT7-013</v>
      </c>
    </row>
    <row r="67" spans="1:3" ht="12.75">
      <c r="A67" s="23">
        <f>B67/25.4</f>
        <v>0.11122047244094528</v>
      </c>
      <c r="B67" s="7">
        <v>2.82500000000001</v>
      </c>
      <c r="C67" s="18" t="str">
        <f>14966&amp;"-KT7-013"</f>
        <v>14966-KT7-013</v>
      </c>
    </row>
    <row r="68" spans="1:3" ht="12.75">
      <c r="A68" s="23">
        <f>B68/25.4</f>
        <v>0.11220472440944922</v>
      </c>
      <c r="B68" s="7">
        <v>2.85000000000001</v>
      </c>
      <c r="C68" s="18" t="str">
        <f>14967&amp;"-KT7-013"</f>
        <v>14967-KT7-013</v>
      </c>
    </row>
    <row r="69" spans="1:3" ht="12.75">
      <c r="A69" s="23">
        <f>B69/25.4</f>
        <v>0.11318897637795317</v>
      </c>
      <c r="B69" s="7">
        <v>2.87500000000001</v>
      </c>
      <c r="C69" s="18" t="str">
        <f>14968&amp;"-KT7-013"</f>
        <v>14968-KT7-013</v>
      </c>
    </row>
    <row r="70" spans="1:3" ht="12.75">
      <c r="A70" s="102">
        <f>B70/25.4</f>
        <v>0.1141732283464571</v>
      </c>
      <c r="B70" s="8">
        <v>2.90000000000001</v>
      </c>
      <c r="C70" s="19" t="str">
        <f>14969&amp;"-KT7-013"</f>
        <v>14969-KT7-013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&amp; Cathy Horton</dc:creator>
  <cp:keywords/>
  <dc:description/>
  <cp:lastModifiedBy>Adam</cp:lastModifiedBy>
  <cp:lastPrinted>2003-06-23T12:21:13Z</cp:lastPrinted>
  <dcterms:created xsi:type="dcterms:W3CDTF">2003-06-15T18:41:47Z</dcterms:created>
  <dcterms:modified xsi:type="dcterms:W3CDTF">2004-06-08T15:15:55Z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-1379151194</vt:i4>
  </property>
  <property fmtid="{D5CDD505-2E9C-101B-9397-08002B2CF9AE}" pid="3" name="_EmailSubject">
    <vt:lpwstr>[ST-Riders] Valve Adjustment Spreadsheet</vt:lpwstr>
  </property>
  <property fmtid="{D5CDD505-2E9C-101B-9397-08002B2CF9AE}" pid="4" name="_AuthorEmail">
    <vt:lpwstr>dhorton9@cox.net</vt:lpwstr>
  </property>
  <property fmtid="{D5CDD505-2E9C-101B-9397-08002B2CF9AE}" pid="5" name="_AuthorEmailDisplayName">
    <vt:lpwstr>Horton</vt:lpwstr>
  </property>
  <property fmtid="{D5CDD505-2E9C-101B-9397-08002B2CF9AE}" pid="6" name="_ReviewingToolsShownOnce">
    <vt:lpwstr/>
  </property>
</Properties>
</file>